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A_Grow Machines\Video\Liesie Videos\"/>
    </mc:Choice>
  </mc:AlternateContent>
  <bookViews>
    <workbookView xWindow="0" yWindow="0" windowWidth="17805" windowHeight="7080"/>
  </bookViews>
  <sheets>
    <sheet name="Soos video" sheetId="1" r:id="rId1"/>
    <sheet name="Verbeterd" sheetId="2" r:id="rId2"/>
    <sheet name="Kontantvloei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E14" i="3"/>
  <c r="F14" i="3"/>
  <c r="G14" i="3"/>
  <c r="H14" i="3"/>
  <c r="I14" i="3"/>
  <c r="J14" i="3"/>
  <c r="K14" i="3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C14" i="3"/>
  <c r="B14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C12" i="3"/>
  <c r="B12" i="3"/>
  <c r="E10" i="3"/>
  <c r="F10" i="3"/>
  <c r="G10" i="3"/>
  <c r="H10" i="3"/>
  <c r="I10" i="3"/>
  <c r="J10" i="3"/>
  <c r="K10" i="3"/>
  <c r="L10" i="3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D10" i="3"/>
  <c r="E9" i="3"/>
  <c r="F9" i="3"/>
  <c r="G9" i="3"/>
  <c r="H9" i="3"/>
  <c r="I9" i="3"/>
  <c r="J9" i="3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D9" i="3"/>
  <c r="G11" i="3"/>
  <c r="F11" i="3"/>
  <c r="E11" i="3"/>
  <c r="D11" i="3"/>
  <c r="C11" i="3"/>
  <c r="C10" i="3"/>
  <c r="C9" i="3"/>
  <c r="B11" i="3"/>
  <c r="B96" i="2" l="1"/>
  <c r="B57" i="2"/>
  <c r="B56" i="2"/>
  <c r="B55" i="2"/>
  <c r="B58" i="2" s="1"/>
  <c r="B54" i="2"/>
  <c r="B53" i="2"/>
  <c r="B49" i="2"/>
  <c r="B48" i="2"/>
  <c r="B50" i="2" s="1"/>
  <c r="B26" i="2"/>
  <c r="B27" i="2" s="1"/>
  <c r="B23" i="2"/>
  <c r="B15" i="2"/>
  <c r="B16" i="2" s="1"/>
  <c r="B12" i="2"/>
  <c r="B62" i="2" l="1"/>
  <c r="B61" i="2"/>
  <c r="B63" i="2" s="1"/>
  <c r="B24" i="2"/>
  <c r="B28" i="2" s="1"/>
  <c r="B30" i="2" s="1"/>
  <c r="B34" i="2" s="1"/>
  <c r="B38" i="2" s="1"/>
  <c r="B82" i="2"/>
  <c r="B84" i="2" s="1"/>
  <c r="B99" i="2"/>
  <c r="B105" i="1"/>
  <c r="B62" i="1"/>
  <c r="B63" i="1" s="1"/>
  <c r="B61" i="1"/>
  <c r="B66" i="2" l="1"/>
  <c r="B68" i="2" s="1"/>
  <c r="B43" i="2"/>
  <c r="B67" i="2"/>
  <c r="B53" i="1"/>
  <c r="B23" i="1"/>
  <c r="B92" i="2" l="1"/>
  <c r="B91" i="2"/>
  <c r="B93" i="2" s="1"/>
  <c r="B88" i="2"/>
  <c r="B102" i="2"/>
  <c r="B103" i="2" s="1"/>
  <c r="B105" i="2" s="1"/>
  <c r="B107" i="2" s="1"/>
  <c r="B109" i="2" s="1"/>
  <c r="B79" i="2"/>
  <c r="B12" i="1"/>
  <c r="B96" i="1"/>
  <c r="B99" i="1" s="1"/>
  <c r="B57" i="1"/>
  <c r="B56" i="1"/>
  <c r="B55" i="1"/>
  <c r="B54" i="1"/>
  <c r="B58" i="1"/>
  <c r="B49" i="1"/>
  <c r="B48" i="1"/>
  <c r="B50" i="1" s="1"/>
  <c r="B26" i="1"/>
  <c r="B27" i="1" s="1"/>
  <c r="B82" i="1" s="1"/>
  <c r="B84" i="1" s="1"/>
  <c r="B15" i="1"/>
  <c r="B16" i="1" s="1"/>
  <c r="B24" i="1" s="1"/>
  <c r="B28" i="1" l="1"/>
  <c r="B30" i="1" s="1"/>
  <c r="B34" i="1" s="1"/>
  <c r="B38" i="1" s="1"/>
  <c r="B67" i="1" s="1"/>
  <c r="B66" i="1"/>
  <c r="B43" i="1" l="1"/>
  <c r="B68" i="1"/>
  <c r="B102" i="1"/>
  <c r="B103" i="1" s="1"/>
  <c r="B92" i="1"/>
  <c r="B91" i="1"/>
  <c r="B88" i="1"/>
  <c r="B79" i="1"/>
  <c r="B93" i="1" l="1"/>
  <c r="B107" i="1" s="1"/>
  <c r="B109" i="1" s="1"/>
</calcChain>
</file>

<file path=xl/sharedStrings.xml><?xml version="1.0" encoding="utf-8"?>
<sst xmlns="http://schemas.openxmlformats.org/spreadsheetml/2006/main" count="319" uniqueCount="135">
  <si>
    <t>Hallelujah Sisteem Potensiaal Rekenaar</t>
  </si>
  <si>
    <t>Gegewe</t>
  </si>
  <si>
    <t>Tamatie produksie</t>
  </si>
  <si>
    <t>Elke Hallelujah Sisteem sel bestaan uit:</t>
  </si>
  <si>
    <t>Beskrywing</t>
  </si>
  <si>
    <t>Hoeveelheid</t>
  </si>
  <si>
    <t>Eenheid</t>
  </si>
  <si>
    <t>Opmerkings</t>
  </si>
  <si>
    <t xml:space="preserve">Lengte van die lyne </t>
  </si>
  <si>
    <t>m</t>
  </si>
  <si>
    <t>Hoeveelheid lyne</t>
  </si>
  <si>
    <t>Kanaal lengte</t>
  </si>
  <si>
    <t>Aantal kanale (Gullies)</t>
  </si>
  <si>
    <t>Gat spasiering</t>
  </si>
  <si>
    <t>Gate per kanaal</t>
  </si>
  <si>
    <t>gate</t>
  </si>
  <si>
    <t>Aantal plante per sel</t>
  </si>
  <si>
    <t>Aantal plante per lyn</t>
  </si>
  <si>
    <t>Op 0.2m Spasiëring = 9 gate, Op 0.4m Spasiëring = 5 gate/Kanaal</t>
  </si>
  <si>
    <t>Produksie per sel</t>
  </si>
  <si>
    <t>Tyd tot eerste produksie</t>
  </si>
  <si>
    <t>Trosse per week</t>
  </si>
  <si>
    <t>tros/week/plant</t>
  </si>
  <si>
    <t>Gewig per tamatie</t>
  </si>
  <si>
    <t>kg</t>
  </si>
  <si>
    <t>Sommige tamaties kan tot 500 gram weeg</t>
  </si>
  <si>
    <t>Aantal tamaties per tros</t>
  </si>
  <si>
    <t>tamaties/tros</t>
  </si>
  <si>
    <t>Moet bestuur word.</t>
  </si>
  <si>
    <t>Produksie per plant per week</t>
  </si>
  <si>
    <t>kg/plant</t>
  </si>
  <si>
    <t>Produksie per sel per week</t>
  </si>
  <si>
    <t>kg/week/sel</t>
  </si>
  <si>
    <t>Siklus tyd</t>
  </si>
  <si>
    <t>maande</t>
  </si>
  <si>
    <t>Oorblywende siklus tyd</t>
  </si>
  <si>
    <t>dae/siklus</t>
  </si>
  <si>
    <t>Produksie weke per siklus</t>
  </si>
  <si>
    <t>weke/siklus</t>
  </si>
  <si>
    <t>Produksie potensiaal per siklus</t>
  </si>
  <si>
    <t>kg/siklus/sel</t>
  </si>
  <si>
    <t>Aantal siklusse per jaar</t>
  </si>
  <si>
    <t>siklusse/jaar</t>
  </si>
  <si>
    <t>Produksie potensiaal per jaar</t>
  </si>
  <si>
    <t>kg/jaar/sel</t>
  </si>
  <si>
    <t>Produksie potensiaal vir die operasie</t>
  </si>
  <si>
    <t>Aantal selle in operasie</t>
  </si>
  <si>
    <t>selle/operasie</t>
  </si>
  <si>
    <t>kg/jaar/operasie</t>
  </si>
  <si>
    <t>Operasie effektiwiteit</t>
  </si>
  <si>
    <t>Effektiwiteit</t>
  </si>
  <si>
    <t>effektief</t>
  </si>
  <si>
    <t>Effektiewe produksie potensiaal per jaar vir operasie</t>
  </si>
  <si>
    <t>Operasie Inkomste potensiaal per jaar</t>
  </si>
  <si>
    <t>Haalbare gemiddelde prys</t>
  </si>
  <si>
    <t>Rand/kg</t>
  </si>
  <si>
    <t>Inkomste potensiaal per jaar</t>
  </si>
  <si>
    <t>Rand/jaar/operasie</t>
  </si>
  <si>
    <t>Produksie kostes</t>
  </si>
  <si>
    <t>Arbeid</t>
  </si>
  <si>
    <t>Toesighouer jaarlikse selaris</t>
  </si>
  <si>
    <t>R/jaar</t>
  </si>
  <si>
    <t>Arbeiders</t>
  </si>
  <si>
    <t>Arbeid totaal</t>
  </si>
  <si>
    <t>Kunsmis</t>
  </si>
  <si>
    <t>Hydroflow (1 sak/sel/maand)</t>
  </si>
  <si>
    <t>Kalsium Nitraat (0.64 sakke/sel/maand)</t>
  </si>
  <si>
    <t>Kalium Sulfaat (0.15 sakke/sel/produksie maand)</t>
  </si>
  <si>
    <t>Salpetersuur</t>
  </si>
  <si>
    <t>Fosforsuur</t>
  </si>
  <si>
    <t>Kunsmis totaal</t>
  </si>
  <si>
    <t>Verpakking</t>
  </si>
  <si>
    <t>1 kg sakkies</t>
  </si>
  <si>
    <t>Karton bokse (600x400x180mm)</t>
  </si>
  <si>
    <t>Chemikalië</t>
  </si>
  <si>
    <t>Waterstof peroksied</t>
  </si>
  <si>
    <t>Eco BB</t>
  </si>
  <si>
    <t>Eco T (Trichoderma)</t>
  </si>
  <si>
    <t>Organo fosfate</t>
  </si>
  <si>
    <t>Chloor</t>
  </si>
  <si>
    <t>Sporekill</t>
  </si>
  <si>
    <t>Agromectin</t>
  </si>
  <si>
    <t>Custodia</t>
  </si>
  <si>
    <t>Totaal gemikalië</t>
  </si>
  <si>
    <t>Verpakking totaal</t>
  </si>
  <si>
    <t>Vervoer</t>
  </si>
  <si>
    <t>Vervoer km per jaar</t>
  </si>
  <si>
    <t>Koste per km</t>
  </si>
  <si>
    <t>R</t>
  </si>
  <si>
    <t>R/km</t>
  </si>
  <si>
    <t xml:space="preserve">Totaal vervoer </t>
  </si>
  <si>
    <t>Bemarking</t>
  </si>
  <si>
    <t>Bemarkings persentasie van inkomste</t>
  </si>
  <si>
    <t>Totaal bemarking</t>
  </si>
  <si>
    <t>Oorhoofse kostes</t>
  </si>
  <si>
    <t>Boekhouers</t>
  </si>
  <si>
    <t>Administrasie</t>
  </si>
  <si>
    <t>Totaal oorhoofse kostes</t>
  </si>
  <si>
    <t>Kapitaal afbetaling</t>
  </si>
  <si>
    <t>Bedrag geleen</t>
  </si>
  <si>
    <t>Rentekoers</t>
  </si>
  <si>
    <t>Afbetaling periode</t>
  </si>
  <si>
    <t>jaar</t>
  </si>
  <si>
    <t>Onderhoud</t>
  </si>
  <si>
    <t>Totaal kapitaal afbetaling</t>
  </si>
  <si>
    <t>Totaal uitgawes</t>
  </si>
  <si>
    <t>Totaal onderhoud</t>
  </si>
  <si>
    <t>Wins = Inkomste - Uitgawes</t>
  </si>
  <si>
    <t>Afbetaling periode?</t>
  </si>
  <si>
    <t>Jaar</t>
  </si>
  <si>
    <t>Produksie potensiaal per operasie per jaar</t>
  </si>
  <si>
    <t>Kan langer wees of korter afhangend van die kultivar</t>
  </si>
  <si>
    <t xml:space="preserve">dae </t>
  </si>
  <si>
    <t>lyne/sel</t>
  </si>
  <si>
    <t>kanale/Lyn</t>
  </si>
  <si>
    <t>plante/lyn</t>
  </si>
  <si>
    <t>lante/sel</t>
  </si>
  <si>
    <t>Saailinge</t>
  </si>
  <si>
    <t>Growers foam</t>
  </si>
  <si>
    <t>Saad</t>
  </si>
  <si>
    <t>koste per blokkie x aantal plante x 2 siklusse</t>
  </si>
  <si>
    <t>Koste per saadjie x aantal plante x 2 siklusse. Jy kan kloon ook.</t>
  </si>
  <si>
    <t>Saailing totaal</t>
  </si>
  <si>
    <t>Komkommer het 4 siklusse van 90 dae elk</t>
  </si>
  <si>
    <t>Verander die groen blokkies om jou situasie te simuleer</t>
  </si>
  <si>
    <t>Sien die verbeterde weergawe (maak oop Verbeterd tab onder)</t>
  </si>
  <si>
    <t>20 jaar Kontantvloei vir n 1 hektaar Halleluja Sisteem wat tamaties produseer</t>
  </si>
  <si>
    <t>Aannames:</t>
  </si>
  <si>
    <t>Vir eenvoudigheids redes werk on teen vandag se geld waarde</t>
  </si>
  <si>
    <t>Kontantvloei</t>
  </si>
  <si>
    <t>Inkomste</t>
  </si>
  <si>
    <t>Uitgawes</t>
  </si>
  <si>
    <t>Kapitaal</t>
  </si>
  <si>
    <t>Wins</t>
  </si>
  <si>
    <t>Sien ook die kontantvloei (maak oop Kontantvloei tab onder)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</si>
</sst>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&quot;#,##0.00;[Red]\-&quot;R&quot;#,##0.00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3" fillId="3" borderId="0" xfId="0" applyFont="1" applyFill="1"/>
    <xf numFmtId="1" fontId="0" fillId="3" borderId="0" xfId="0" applyNumberFormat="1" applyFill="1"/>
    <xf numFmtId="0" fontId="0" fillId="3" borderId="0" xfId="0" applyFill="1"/>
    <xf numFmtId="165" fontId="0" fillId="0" borderId="0" xfId="1" applyNumberFormat="1" applyFont="1"/>
    <xf numFmtId="166" fontId="0" fillId="0" borderId="0" xfId="0" applyNumberFormat="1"/>
    <xf numFmtId="0" fontId="0" fillId="0" borderId="0" xfId="0" applyFont="1"/>
    <xf numFmtId="165" fontId="1" fillId="0" borderId="0" xfId="1" applyNumberFormat="1" applyFont="1"/>
    <xf numFmtId="0" fontId="3" fillId="4" borderId="0" xfId="0" applyFont="1" applyFill="1"/>
    <xf numFmtId="1" fontId="0" fillId="4" borderId="0" xfId="0" applyNumberFormat="1" applyFill="1"/>
    <xf numFmtId="0" fontId="0" fillId="4" borderId="0" xfId="0" applyFill="1"/>
    <xf numFmtId="0" fontId="3" fillId="5" borderId="0" xfId="0" applyFont="1" applyFill="1"/>
    <xf numFmtId="1" fontId="0" fillId="5" borderId="0" xfId="0" applyNumberFormat="1" applyFill="1"/>
    <xf numFmtId="0" fontId="0" fillId="5" borderId="0" xfId="0" applyFill="1"/>
    <xf numFmtId="0" fontId="3" fillId="0" borderId="0" xfId="0" applyFont="1" applyAlignment="1">
      <alignment horizontal="right"/>
    </xf>
    <xf numFmtId="43" fontId="2" fillId="0" borderId="0" xfId="1" applyNumberFormat="1" applyFont="1"/>
    <xf numFmtId="10" fontId="0" fillId="0" borderId="0" xfId="0" applyNumberFormat="1"/>
    <xf numFmtId="8" fontId="0" fillId="0" borderId="0" xfId="0" applyNumberFormat="1"/>
    <xf numFmtId="165" fontId="0" fillId="0" borderId="0" xfId="0" applyNumberFormat="1"/>
    <xf numFmtId="165" fontId="2" fillId="0" borderId="0" xfId="1" applyNumberFormat="1" applyFont="1"/>
    <xf numFmtId="0" fontId="3" fillId="2" borderId="0" xfId="0" applyFont="1" applyFill="1" applyAlignment="1">
      <alignment horizontal="right"/>
    </xf>
    <xf numFmtId="165" fontId="0" fillId="2" borderId="0" xfId="0" applyNumberFormat="1" applyFill="1"/>
    <xf numFmtId="165" fontId="2" fillId="0" borderId="0" xfId="0" applyNumberFormat="1" applyFont="1"/>
    <xf numFmtId="0" fontId="0" fillId="6" borderId="0" xfId="0" applyFill="1"/>
    <xf numFmtId="1" fontId="0" fillId="6" borderId="0" xfId="0" applyNumberFormat="1" applyFill="1"/>
    <xf numFmtId="166" fontId="0" fillId="6" borderId="0" xfId="0" applyNumberFormat="1" applyFill="1"/>
    <xf numFmtId="165" fontId="0" fillId="6" borderId="0" xfId="1" applyNumberFormat="1" applyFont="1" applyFill="1"/>
    <xf numFmtId="43" fontId="2" fillId="6" borderId="0" xfId="1" applyNumberFormat="1" applyFont="1" applyFill="1"/>
    <xf numFmtId="164" fontId="0" fillId="6" borderId="0" xfId="0" applyNumberFormat="1" applyFill="1"/>
    <xf numFmtId="10" fontId="0" fillId="6" borderId="0" xfId="0" applyNumberFormat="1" applyFill="1"/>
    <xf numFmtId="165" fontId="0" fillId="6" borderId="0" xfId="0" applyNumberFormat="1" applyFill="1"/>
    <xf numFmtId="0" fontId="2" fillId="6" borderId="0" xfId="0" applyFont="1" applyFill="1"/>
    <xf numFmtId="0" fontId="2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Kontantvloei!$A$12</c:f>
              <c:strCache>
                <c:ptCount val="1"/>
                <c:pt idx="0">
                  <c:v>Wins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Kontantvloei!$B$7:$V$7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Kontantvloei!$B$12:$V$12</c:f>
              <c:numCache>
                <c:formatCode>_-* #\ ##0_-;\-* #\ ##0_-;_-* "-"??_-;_-@_-</c:formatCode>
                <c:ptCount val="21"/>
                <c:pt idx="0">
                  <c:v>-11200000</c:v>
                </c:pt>
                <c:pt idx="1">
                  <c:v>10247880.402786992</c:v>
                </c:pt>
                <c:pt idx="2">
                  <c:v>10247880.402786992</c:v>
                </c:pt>
                <c:pt idx="3">
                  <c:v>10247880.402786992</c:v>
                </c:pt>
                <c:pt idx="4">
                  <c:v>10247880.402786992</c:v>
                </c:pt>
                <c:pt idx="5">
                  <c:v>10247880.402786992</c:v>
                </c:pt>
                <c:pt idx="6">
                  <c:v>13297348.857142858</c:v>
                </c:pt>
                <c:pt idx="7">
                  <c:v>13297348.857142858</c:v>
                </c:pt>
                <c:pt idx="8">
                  <c:v>13297348.857142858</c:v>
                </c:pt>
                <c:pt idx="9">
                  <c:v>13297348.857142858</c:v>
                </c:pt>
                <c:pt idx="10">
                  <c:v>13297348.857142858</c:v>
                </c:pt>
                <c:pt idx="11">
                  <c:v>13297348.857142858</c:v>
                </c:pt>
                <c:pt idx="12">
                  <c:v>13297348.857142858</c:v>
                </c:pt>
                <c:pt idx="13">
                  <c:v>13297348.857142858</c:v>
                </c:pt>
                <c:pt idx="14">
                  <c:v>13297348.857142858</c:v>
                </c:pt>
                <c:pt idx="15">
                  <c:v>13297348.857142858</c:v>
                </c:pt>
                <c:pt idx="16">
                  <c:v>13297348.857142858</c:v>
                </c:pt>
                <c:pt idx="17">
                  <c:v>13297348.857142858</c:v>
                </c:pt>
                <c:pt idx="18">
                  <c:v>13297348.857142858</c:v>
                </c:pt>
                <c:pt idx="19">
                  <c:v>13297348.857142858</c:v>
                </c:pt>
                <c:pt idx="20">
                  <c:v>13297348.857142858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-27"/>
        <c:axId val="460484512"/>
        <c:axId val="460477456"/>
      </c:barChart>
      <c:catAx>
        <c:axId val="460484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1200"/>
                  <a:t>Jaar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477456"/>
        <c:crosses val="autoZero"/>
        <c:auto val="1"/>
        <c:lblAlgn val="ctr"/>
        <c:lblOffset val="100"/>
        <c:noMultiLvlLbl val="0"/>
      </c:catAx>
      <c:valAx>
        <c:axId val="46047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1400"/>
                  <a:t>Rand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484512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ZA"/>
                    <a:t>Miljoen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Kontantvloei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Kontantvloei!$A$14</c:f>
              <c:strCache>
                <c:ptCount val="1"/>
                <c:pt idx="0">
                  <c:v>Kontantvloei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Kontantvloei!$B$7:$V$7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Kontantvloei!$B$14:$V$14</c:f>
              <c:numCache>
                <c:formatCode>_-* #\,##0_-;\-* #\,##0_-;_-* "-"??_-;_-@_-</c:formatCode>
                <c:ptCount val="21"/>
                <c:pt idx="0">
                  <c:v>-11200000</c:v>
                </c:pt>
                <c:pt idx="1">
                  <c:v>-952119.59721300751</c:v>
                </c:pt>
                <c:pt idx="2">
                  <c:v>9295760.805573985</c:v>
                </c:pt>
                <c:pt idx="3">
                  <c:v>19543641.208360977</c:v>
                </c:pt>
                <c:pt idx="4">
                  <c:v>29791521.61114797</c:v>
                </c:pt>
                <c:pt idx="5">
                  <c:v>40039402.013934962</c:v>
                </c:pt>
                <c:pt idx="6">
                  <c:v>53336750.871077821</c:v>
                </c:pt>
                <c:pt idx="7">
                  <c:v>66634099.728220679</c:v>
                </c:pt>
                <c:pt idx="8">
                  <c:v>79931448.585363537</c:v>
                </c:pt>
                <c:pt idx="9">
                  <c:v>93228797.442506403</c:v>
                </c:pt>
                <c:pt idx="10">
                  <c:v>106526146.29964927</c:v>
                </c:pt>
                <c:pt idx="11">
                  <c:v>119823495.15679213</c:v>
                </c:pt>
                <c:pt idx="12">
                  <c:v>133120844.013935</c:v>
                </c:pt>
                <c:pt idx="13">
                  <c:v>146418192.87107787</c:v>
                </c:pt>
                <c:pt idx="14">
                  <c:v>159715541.72822073</c:v>
                </c:pt>
                <c:pt idx="15">
                  <c:v>173012890.5853636</c:v>
                </c:pt>
                <c:pt idx="16">
                  <c:v>186310239.44250646</c:v>
                </c:pt>
                <c:pt idx="17">
                  <c:v>199607588.29964933</c:v>
                </c:pt>
                <c:pt idx="18">
                  <c:v>212904937.15679219</c:v>
                </c:pt>
                <c:pt idx="19">
                  <c:v>226202286.01393506</c:v>
                </c:pt>
                <c:pt idx="20">
                  <c:v>239499634.87107792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-27"/>
        <c:axId val="383937048"/>
        <c:axId val="387824912"/>
      </c:barChart>
      <c:catAx>
        <c:axId val="383937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1100"/>
                  <a:t>Jaar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24912"/>
        <c:crosses val="autoZero"/>
        <c:auto val="1"/>
        <c:lblAlgn val="ctr"/>
        <c:lblOffset val="100"/>
        <c:noMultiLvlLbl val="0"/>
      </c:catAx>
      <c:valAx>
        <c:axId val="387824912"/>
        <c:scaling>
          <c:orientation val="minMax"/>
          <c:max val="25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1400"/>
                  <a:t>Rand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937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442912</xdr:colOff>
      <xdr:row>15</xdr:row>
      <xdr:rowOff>9525</xdr:rowOff>
    </xdr:from>
    <xdr:to>
      <xdr:col>11</xdr:col>
      <xdr:colOff>133350</xdr:colOff>
      <xdr:row>29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447676</xdr:colOff>
      <xdr:row>29</xdr:row>
      <xdr:rowOff>152400</xdr:rowOff>
    </xdr:from>
    <xdr:to>
      <xdr:col>11</xdr:col>
      <xdr:colOff>138114</xdr:colOff>
      <xdr:row>44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A113" sqref="A113"/>
    </sheetView>
  </sheetViews>
  <sheetFormatPr defaultRowHeight="15" x14ac:dyDescent="0.25"/>
  <cols>
    <col min="1" max="1" width="47.42578125" bestFit="1" customWidth="1"/>
    <col min="2" max="2" width="17.42578125" bestFit="1" customWidth="1"/>
    <col min="3" max="3" width="15.85546875" bestFit="1" customWidth="1"/>
    <col min="4" max="4" width="58.28515625" bestFit="1" customWidth="1"/>
  </cols>
  <sheetData>
    <row r="1" spans="1:4" ht="18.75" x14ac:dyDescent="0.3">
      <c r="A1" s="2" t="s">
        <v>0</v>
      </c>
    </row>
    <row r="3" spans="1:4" x14ac:dyDescent="0.25">
      <c r="A3" s="1" t="s">
        <v>1</v>
      </c>
    </row>
    <row r="4" spans="1:4" x14ac:dyDescent="0.25">
      <c r="A4" t="s">
        <v>2</v>
      </c>
    </row>
    <row r="6" spans="1:4" x14ac:dyDescent="0.25">
      <c r="A6" t="s">
        <v>3</v>
      </c>
    </row>
    <row r="8" spans="1:4" x14ac:dyDescent="0.25">
      <c r="A8" s="1" t="s">
        <v>4</v>
      </c>
      <c r="B8" s="1" t="s">
        <v>5</v>
      </c>
      <c r="C8" s="1" t="s">
        <v>6</v>
      </c>
      <c r="D8" s="1" t="s">
        <v>7</v>
      </c>
    </row>
    <row r="9" spans="1:4" x14ac:dyDescent="0.25">
      <c r="A9" t="s">
        <v>8</v>
      </c>
      <c r="B9">
        <v>30</v>
      </c>
      <c r="C9" t="s">
        <v>9</v>
      </c>
    </row>
    <row r="10" spans="1:4" x14ac:dyDescent="0.25">
      <c r="A10" t="s">
        <v>10</v>
      </c>
      <c r="B10">
        <v>16</v>
      </c>
      <c r="C10" t="s">
        <v>113</v>
      </c>
    </row>
    <row r="11" spans="1:4" x14ac:dyDescent="0.25">
      <c r="A11" t="s">
        <v>11</v>
      </c>
      <c r="B11">
        <v>2</v>
      </c>
      <c r="C11" t="s">
        <v>9</v>
      </c>
    </row>
    <row r="12" spans="1:4" x14ac:dyDescent="0.25">
      <c r="A12" t="s">
        <v>12</v>
      </c>
      <c r="B12">
        <f>B9/B11</f>
        <v>15</v>
      </c>
      <c r="C12" t="s">
        <v>114</v>
      </c>
    </row>
    <row r="13" spans="1:4" x14ac:dyDescent="0.25">
      <c r="A13" t="s">
        <v>13</v>
      </c>
      <c r="B13">
        <v>0.2</v>
      </c>
      <c r="C13" t="s">
        <v>9</v>
      </c>
      <c r="D13" t="s">
        <v>18</v>
      </c>
    </row>
    <row r="14" spans="1:4" x14ac:dyDescent="0.25">
      <c r="A14" t="s">
        <v>14</v>
      </c>
      <c r="B14">
        <v>9</v>
      </c>
      <c r="C14" t="s">
        <v>15</v>
      </c>
    </row>
    <row r="15" spans="1:4" x14ac:dyDescent="0.25">
      <c r="A15" t="s">
        <v>17</v>
      </c>
      <c r="B15">
        <f>B14*B12</f>
        <v>135</v>
      </c>
      <c r="C15" t="s">
        <v>115</v>
      </c>
    </row>
    <row r="16" spans="1:4" x14ac:dyDescent="0.25">
      <c r="A16" t="s">
        <v>16</v>
      </c>
      <c r="B16">
        <f>B15*B10</f>
        <v>2160</v>
      </c>
      <c r="C16" t="s">
        <v>116</v>
      </c>
    </row>
    <row r="18" spans="1:4" x14ac:dyDescent="0.25">
      <c r="A18" s="3" t="s">
        <v>19</v>
      </c>
      <c r="B18" s="4"/>
      <c r="C18" s="4"/>
    </row>
    <row r="19" spans="1:4" x14ac:dyDescent="0.25">
      <c r="A19" t="s">
        <v>20</v>
      </c>
      <c r="B19">
        <v>35</v>
      </c>
      <c r="C19" t="s">
        <v>112</v>
      </c>
    </row>
    <row r="20" spans="1:4" x14ac:dyDescent="0.25">
      <c r="A20" t="s">
        <v>21</v>
      </c>
      <c r="B20">
        <v>1</v>
      </c>
      <c r="C20" t="s">
        <v>22</v>
      </c>
    </row>
    <row r="21" spans="1:4" x14ac:dyDescent="0.25">
      <c r="A21" t="s">
        <v>23</v>
      </c>
      <c r="B21">
        <v>0.15</v>
      </c>
      <c r="C21" t="s">
        <v>24</v>
      </c>
      <c r="D21" t="s">
        <v>25</v>
      </c>
    </row>
    <row r="22" spans="1:4" x14ac:dyDescent="0.25">
      <c r="A22" t="s">
        <v>26</v>
      </c>
      <c r="B22">
        <v>5</v>
      </c>
      <c r="C22" t="s">
        <v>27</v>
      </c>
      <c r="D22" t="s">
        <v>28</v>
      </c>
    </row>
    <row r="23" spans="1:4" x14ac:dyDescent="0.25">
      <c r="A23" t="s">
        <v>29</v>
      </c>
      <c r="B23">
        <f>B22*B21*B20</f>
        <v>0.75</v>
      </c>
      <c r="C23" t="s">
        <v>30</v>
      </c>
    </row>
    <row r="24" spans="1:4" x14ac:dyDescent="0.25">
      <c r="A24" t="s">
        <v>31</v>
      </c>
      <c r="B24">
        <f>B23*B16</f>
        <v>1620</v>
      </c>
      <c r="C24" t="s">
        <v>32</v>
      </c>
    </row>
    <row r="25" spans="1:4" x14ac:dyDescent="0.25">
      <c r="A25" t="s">
        <v>33</v>
      </c>
      <c r="B25">
        <v>6</v>
      </c>
      <c r="C25" t="s">
        <v>34</v>
      </c>
      <c r="D25" t="s">
        <v>111</v>
      </c>
    </row>
    <row r="26" spans="1:4" x14ac:dyDescent="0.25">
      <c r="A26" t="s">
        <v>35</v>
      </c>
      <c r="B26">
        <f>180-B19</f>
        <v>145</v>
      </c>
      <c r="C26" t="s">
        <v>36</v>
      </c>
    </row>
    <row r="27" spans="1:4" x14ac:dyDescent="0.25">
      <c r="A27" t="s">
        <v>37</v>
      </c>
      <c r="B27" s="6">
        <f>B26/7</f>
        <v>20.714285714285715</v>
      </c>
      <c r="C27" t="s">
        <v>38</v>
      </c>
    </row>
    <row r="28" spans="1:4" x14ac:dyDescent="0.25">
      <c r="A28" t="s">
        <v>39</v>
      </c>
      <c r="B28" s="11">
        <f>B27*B24</f>
        <v>33557.142857142862</v>
      </c>
      <c r="C28" t="s">
        <v>40</v>
      </c>
    </row>
    <row r="29" spans="1:4" x14ac:dyDescent="0.25">
      <c r="A29" t="s">
        <v>41</v>
      </c>
      <c r="B29">
        <v>2</v>
      </c>
      <c r="C29" t="s">
        <v>42</v>
      </c>
    </row>
    <row r="30" spans="1:4" x14ac:dyDescent="0.25">
      <c r="A30" t="s">
        <v>43</v>
      </c>
      <c r="B30" s="11">
        <f>B29*B28</f>
        <v>67114.285714285725</v>
      </c>
      <c r="C30" t="s">
        <v>44</v>
      </c>
    </row>
    <row r="31" spans="1:4" x14ac:dyDescent="0.25">
      <c r="B31" s="7"/>
    </row>
    <row r="32" spans="1:4" x14ac:dyDescent="0.25">
      <c r="A32" s="8" t="s">
        <v>45</v>
      </c>
      <c r="B32" s="9"/>
      <c r="C32" s="10"/>
    </row>
    <row r="33" spans="1:3" x14ac:dyDescent="0.25">
      <c r="A33" t="s">
        <v>46</v>
      </c>
      <c r="B33" s="7">
        <v>18</v>
      </c>
      <c r="C33" t="s">
        <v>47</v>
      </c>
    </row>
    <row r="34" spans="1:3" x14ac:dyDescent="0.25">
      <c r="A34" t="s">
        <v>110</v>
      </c>
      <c r="B34" s="11">
        <f>B33*B30</f>
        <v>1208057.142857143</v>
      </c>
      <c r="C34" t="s">
        <v>48</v>
      </c>
    </row>
    <row r="35" spans="1:3" x14ac:dyDescent="0.25">
      <c r="B35" s="7"/>
    </row>
    <row r="36" spans="1:3" x14ac:dyDescent="0.25">
      <c r="A36" s="1" t="s">
        <v>49</v>
      </c>
      <c r="B36" s="7"/>
    </row>
    <row r="37" spans="1:3" x14ac:dyDescent="0.25">
      <c r="A37" t="s">
        <v>50</v>
      </c>
      <c r="B37" s="12">
        <v>0.8</v>
      </c>
      <c r="C37" t="s">
        <v>51</v>
      </c>
    </row>
    <row r="38" spans="1:3" x14ac:dyDescent="0.25">
      <c r="A38" t="s">
        <v>52</v>
      </c>
      <c r="B38" s="11">
        <f>B34*B37</f>
        <v>966445.71428571444</v>
      </c>
      <c r="C38" t="s">
        <v>48</v>
      </c>
    </row>
    <row r="39" spans="1:3" x14ac:dyDescent="0.25">
      <c r="B39" s="7"/>
    </row>
    <row r="40" spans="1:3" x14ac:dyDescent="0.25">
      <c r="A40" s="15" t="s">
        <v>53</v>
      </c>
      <c r="B40" s="16"/>
      <c r="C40" s="17"/>
    </row>
    <row r="41" spans="1:3" x14ac:dyDescent="0.25">
      <c r="A41" t="s">
        <v>54</v>
      </c>
      <c r="B41" s="7">
        <v>20</v>
      </c>
      <c r="C41" t="s">
        <v>55</v>
      </c>
    </row>
    <row r="42" spans="1:3" x14ac:dyDescent="0.25">
      <c r="B42" s="7"/>
    </row>
    <row r="43" spans="1:3" x14ac:dyDescent="0.25">
      <c r="A43" s="13" t="s">
        <v>56</v>
      </c>
      <c r="B43" s="14">
        <f>B38*B41</f>
        <v>19328914.285714287</v>
      </c>
      <c r="C43" s="13" t="s">
        <v>57</v>
      </c>
    </row>
    <row r="44" spans="1:3" x14ac:dyDescent="0.25">
      <c r="B44" s="7"/>
    </row>
    <row r="45" spans="1:3" x14ac:dyDescent="0.25">
      <c r="A45" s="18" t="s">
        <v>58</v>
      </c>
      <c r="B45" s="19"/>
      <c r="C45" s="20"/>
    </row>
    <row r="46" spans="1:3" x14ac:dyDescent="0.25">
      <c r="B46" s="7"/>
    </row>
    <row r="47" spans="1:3" x14ac:dyDescent="0.25">
      <c r="A47" s="1" t="s">
        <v>59</v>
      </c>
      <c r="B47" s="7"/>
    </row>
    <row r="48" spans="1:3" x14ac:dyDescent="0.25">
      <c r="A48" t="s">
        <v>60</v>
      </c>
      <c r="B48" s="11">
        <f>-35000*12</f>
        <v>-420000</v>
      </c>
      <c r="C48" t="s">
        <v>61</v>
      </c>
    </row>
    <row r="49" spans="1:4" x14ac:dyDescent="0.25">
      <c r="A49" t="s">
        <v>62</v>
      </c>
      <c r="B49" s="11">
        <f>-B33*1*6000*12</f>
        <v>-1296000</v>
      </c>
      <c r="C49" t="s">
        <v>61</v>
      </c>
    </row>
    <row r="50" spans="1:4" x14ac:dyDescent="0.25">
      <c r="A50" s="21" t="s">
        <v>63</v>
      </c>
      <c r="B50" s="11">
        <f>SUM(B48:B49)</f>
        <v>-1716000</v>
      </c>
      <c r="C50" t="s">
        <v>61</v>
      </c>
    </row>
    <row r="51" spans="1:4" x14ac:dyDescent="0.25">
      <c r="B51" s="11"/>
    </row>
    <row r="52" spans="1:4" x14ac:dyDescent="0.25">
      <c r="A52" s="1" t="s">
        <v>64</v>
      </c>
      <c r="B52" s="11"/>
    </row>
    <row r="53" spans="1:4" x14ac:dyDescent="0.25">
      <c r="A53" t="s">
        <v>65</v>
      </c>
      <c r="B53" s="11">
        <f>-800*B33*12</f>
        <v>-172800</v>
      </c>
      <c r="C53" t="s">
        <v>61</v>
      </c>
    </row>
    <row r="54" spans="1:4" x14ac:dyDescent="0.25">
      <c r="A54" t="s">
        <v>66</v>
      </c>
      <c r="B54" s="11">
        <f>-0.64*B33*12*450</f>
        <v>-62208.000000000007</v>
      </c>
      <c r="C54" t="s">
        <v>61</v>
      </c>
    </row>
    <row r="55" spans="1:4" x14ac:dyDescent="0.25">
      <c r="A55" t="s">
        <v>67</v>
      </c>
      <c r="B55" s="11">
        <f>-0.15*B33*10*650</f>
        <v>-17549.999999999996</v>
      </c>
      <c r="C55" t="s">
        <v>61</v>
      </c>
    </row>
    <row r="56" spans="1:4" x14ac:dyDescent="0.25">
      <c r="A56" t="s">
        <v>68</v>
      </c>
      <c r="B56" s="11">
        <f>-0.5*350*B33*12</f>
        <v>-37800</v>
      </c>
      <c r="C56" t="s">
        <v>61</v>
      </c>
    </row>
    <row r="57" spans="1:4" x14ac:dyDescent="0.25">
      <c r="A57" t="s">
        <v>69</v>
      </c>
      <c r="B57" s="11">
        <f>-800*0.5*B33*12</f>
        <v>-86400</v>
      </c>
      <c r="C57" t="s">
        <v>61</v>
      </c>
    </row>
    <row r="58" spans="1:4" x14ac:dyDescent="0.25">
      <c r="A58" s="21" t="s">
        <v>70</v>
      </c>
      <c r="B58" s="11">
        <f>SUM(B53:B57)</f>
        <v>-376758</v>
      </c>
      <c r="C58" t="s">
        <v>61</v>
      </c>
    </row>
    <row r="59" spans="1:4" x14ac:dyDescent="0.25">
      <c r="B59" s="7"/>
    </row>
    <row r="60" spans="1:4" x14ac:dyDescent="0.25">
      <c r="A60" s="1" t="s">
        <v>117</v>
      </c>
      <c r="B60" s="7"/>
    </row>
    <row r="61" spans="1:4" x14ac:dyDescent="0.25">
      <c r="A61" t="s">
        <v>118</v>
      </c>
      <c r="B61" s="11">
        <f>-0.9*B16*B33*2</f>
        <v>-69984</v>
      </c>
      <c r="C61" t="s">
        <v>61</v>
      </c>
      <c r="D61" t="s">
        <v>120</v>
      </c>
    </row>
    <row r="62" spans="1:4" x14ac:dyDescent="0.25">
      <c r="A62" t="s">
        <v>119</v>
      </c>
      <c r="B62" s="11">
        <f>-5*B16*B33*2</f>
        <v>-388800</v>
      </c>
      <c r="C62" t="s">
        <v>61</v>
      </c>
      <c r="D62" t="s">
        <v>121</v>
      </c>
    </row>
    <row r="63" spans="1:4" x14ac:dyDescent="0.25">
      <c r="A63" s="21" t="s">
        <v>122</v>
      </c>
      <c r="B63" s="11">
        <f>SUM(B61:B62)</f>
        <v>-458784</v>
      </c>
      <c r="C63" t="s">
        <v>61</v>
      </c>
    </row>
    <row r="64" spans="1:4" x14ac:dyDescent="0.25">
      <c r="B64" s="7"/>
    </row>
    <row r="65" spans="1:3" x14ac:dyDescent="0.25">
      <c r="A65" s="1" t="s">
        <v>71</v>
      </c>
      <c r="B65" s="7"/>
    </row>
    <row r="66" spans="1:3" x14ac:dyDescent="0.25">
      <c r="A66" t="s">
        <v>72</v>
      </c>
      <c r="B66" s="11">
        <f>-0.45*B38</f>
        <v>-434900.57142857148</v>
      </c>
      <c r="C66" t="s">
        <v>61</v>
      </c>
    </row>
    <row r="67" spans="1:3" x14ac:dyDescent="0.25">
      <c r="A67" t="s">
        <v>73</v>
      </c>
      <c r="B67" s="11">
        <f>-5*B38/10</f>
        <v>-483222.85714285716</v>
      </c>
      <c r="C67" t="s">
        <v>61</v>
      </c>
    </row>
    <row r="68" spans="1:3" x14ac:dyDescent="0.25">
      <c r="A68" s="21" t="s">
        <v>84</v>
      </c>
      <c r="B68" s="11">
        <f>SUM(B66:B67)</f>
        <v>-918123.42857142864</v>
      </c>
      <c r="C68" t="s">
        <v>61</v>
      </c>
    </row>
    <row r="69" spans="1:3" x14ac:dyDescent="0.25">
      <c r="B69" s="7"/>
    </row>
    <row r="70" spans="1:3" x14ac:dyDescent="0.25">
      <c r="A70" s="1" t="s">
        <v>74</v>
      </c>
      <c r="B70" s="7"/>
    </row>
    <row r="71" spans="1:3" x14ac:dyDescent="0.25">
      <c r="A71" t="s">
        <v>75</v>
      </c>
      <c r="B71" s="7"/>
    </row>
    <row r="72" spans="1:3" x14ac:dyDescent="0.25">
      <c r="A72" t="s">
        <v>76</v>
      </c>
      <c r="B72" s="7"/>
    </row>
    <row r="73" spans="1:3" x14ac:dyDescent="0.25">
      <c r="A73" t="s">
        <v>77</v>
      </c>
      <c r="B73" s="7"/>
    </row>
    <row r="74" spans="1:3" x14ac:dyDescent="0.25">
      <c r="A74" t="s">
        <v>78</v>
      </c>
      <c r="B74" s="7"/>
    </row>
    <row r="75" spans="1:3" x14ac:dyDescent="0.25">
      <c r="A75" t="s">
        <v>79</v>
      </c>
      <c r="B75" s="7"/>
    </row>
    <row r="76" spans="1:3" x14ac:dyDescent="0.25">
      <c r="A76" t="s">
        <v>80</v>
      </c>
      <c r="B76" s="7"/>
    </row>
    <row r="77" spans="1:3" x14ac:dyDescent="0.25">
      <c r="A77" t="s">
        <v>81</v>
      </c>
      <c r="B77" s="7"/>
    </row>
    <row r="78" spans="1:3" x14ac:dyDescent="0.25">
      <c r="A78" t="s">
        <v>82</v>
      </c>
      <c r="B78" s="7"/>
    </row>
    <row r="79" spans="1:3" x14ac:dyDescent="0.25">
      <c r="A79" s="21" t="s">
        <v>83</v>
      </c>
      <c r="B79" s="22">
        <f>-1%*B43</f>
        <v>-193289.14285714287</v>
      </c>
      <c r="C79" t="s">
        <v>61</v>
      </c>
    </row>
    <row r="80" spans="1:3" x14ac:dyDescent="0.25">
      <c r="B80" s="7"/>
    </row>
    <row r="81" spans="1:3" x14ac:dyDescent="0.25">
      <c r="A81" s="1" t="s">
        <v>85</v>
      </c>
      <c r="B81" s="7"/>
    </row>
    <row r="82" spans="1:3" x14ac:dyDescent="0.25">
      <c r="A82" t="s">
        <v>86</v>
      </c>
      <c r="B82" s="7">
        <f>300*2*B27 + 10000</f>
        <v>22428.571428571428</v>
      </c>
    </row>
    <row r="83" spans="1:3" x14ac:dyDescent="0.25">
      <c r="A83" t="s">
        <v>87</v>
      </c>
      <c r="B83" s="6">
        <v>-6.5</v>
      </c>
      <c r="C83" t="s">
        <v>89</v>
      </c>
    </row>
    <row r="84" spans="1:3" x14ac:dyDescent="0.25">
      <c r="A84" s="21" t="s">
        <v>90</v>
      </c>
      <c r="B84" s="26">
        <f>B82*B83</f>
        <v>-145785.71428571429</v>
      </c>
      <c r="C84" t="s">
        <v>61</v>
      </c>
    </row>
    <row r="85" spans="1:3" x14ac:dyDescent="0.25">
      <c r="B85" s="7"/>
    </row>
    <row r="86" spans="1:3" x14ac:dyDescent="0.25">
      <c r="A86" s="1" t="s">
        <v>91</v>
      </c>
      <c r="B86" s="7"/>
    </row>
    <row r="87" spans="1:3" x14ac:dyDescent="0.25">
      <c r="A87" t="s">
        <v>92</v>
      </c>
      <c r="B87" s="12">
        <v>6.5000000000000002E-2</v>
      </c>
    </row>
    <row r="88" spans="1:3" x14ac:dyDescent="0.25">
      <c r="A88" s="21" t="s">
        <v>93</v>
      </c>
      <c r="B88" s="11">
        <f>-B87*B43</f>
        <v>-1256379.4285714286</v>
      </c>
      <c r="C88" t="s">
        <v>61</v>
      </c>
    </row>
    <row r="89" spans="1:3" x14ac:dyDescent="0.25">
      <c r="B89" s="7"/>
    </row>
    <row r="90" spans="1:3" x14ac:dyDescent="0.25">
      <c r="A90" s="1" t="s">
        <v>94</v>
      </c>
      <c r="B90" s="7"/>
    </row>
    <row r="91" spans="1:3" x14ac:dyDescent="0.25">
      <c r="A91" t="s">
        <v>95</v>
      </c>
      <c r="B91" s="11">
        <f>-2%*B43</f>
        <v>-386578.28571428574</v>
      </c>
      <c r="C91" t="s">
        <v>61</v>
      </c>
    </row>
    <row r="92" spans="1:3" x14ac:dyDescent="0.25">
      <c r="A92" t="s">
        <v>96</v>
      </c>
      <c r="B92" s="11">
        <f>-2%*B43</f>
        <v>-386578.28571428574</v>
      </c>
      <c r="C92" t="s">
        <v>61</v>
      </c>
    </row>
    <row r="93" spans="1:3" x14ac:dyDescent="0.25">
      <c r="A93" s="21" t="s">
        <v>97</v>
      </c>
      <c r="B93" s="11">
        <f>SUM(B91:B92)</f>
        <v>-773156.57142857148</v>
      </c>
      <c r="C93" t="s">
        <v>61</v>
      </c>
    </row>
    <row r="95" spans="1:3" x14ac:dyDescent="0.25">
      <c r="A95" s="1" t="s">
        <v>98</v>
      </c>
    </row>
    <row r="96" spans="1:3" x14ac:dyDescent="0.25">
      <c r="A96" t="s">
        <v>99</v>
      </c>
      <c r="B96" s="11">
        <f>((400000*B33)+1000000+1000000+1000000+1000000)</f>
        <v>11200000</v>
      </c>
      <c r="C96" t="s">
        <v>88</v>
      </c>
    </row>
    <row r="97" spans="1:3" x14ac:dyDescent="0.25">
      <c r="A97" t="s">
        <v>100</v>
      </c>
      <c r="B97" s="23">
        <v>0.1125</v>
      </c>
    </row>
    <row r="98" spans="1:3" x14ac:dyDescent="0.25">
      <c r="A98" t="s">
        <v>101</v>
      </c>
      <c r="B98">
        <v>5</v>
      </c>
      <c r="C98" t="s">
        <v>102</v>
      </c>
    </row>
    <row r="99" spans="1:3" x14ac:dyDescent="0.25">
      <c r="A99" s="21" t="s">
        <v>104</v>
      </c>
      <c r="B99" s="11">
        <f>PMT(B97,B98,B96)</f>
        <v>-3049468.4543558666</v>
      </c>
      <c r="C99" s="24" t="s">
        <v>61</v>
      </c>
    </row>
    <row r="101" spans="1:3" x14ac:dyDescent="0.25">
      <c r="A101" s="1" t="s">
        <v>103</v>
      </c>
    </row>
    <row r="102" spans="1:3" x14ac:dyDescent="0.25">
      <c r="A102" t="s">
        <v>103</v>
      </c>
      <c r="B102" s="25">
        <f>-1%*B43</f>
        <v>-193289.14285714287</v>
      </c>
      <c r="C102" t="s">
        <v>61</v>
      </c>
    </row>
    <row r="103" spans="1:3" x14ac:dyDescent="0.25">
      <c r="A103" s="21" t="s">
        <v>106</v>
      </c>
      <c r="B103" s="25">
        <f>B102</f>
        <v>-193289.14285714287</v>
      </c>
      <c r="C103" t="s">
        <v>61</v>
      </c>
    </row>
    <row r="104" spans="1:3" x14ac:dyDescent="0.25">
      <c r="B104" s="25"/>
    </row>
    <row r="105" spans="1:3" x14ac:dyDescent="0.25">
      <c r="A105" s="21" t="s">
        <v>105</v>
      </c>
      <c r="B105" s="29">
        <f>B103+B99+B93+B88+B84+B79+B68+B58+B50+B63</f>
        <v>-9081033.8829272948</v>
      </c>
      <c r="C105" t="s">
        <v>61</v>
      </c>
    </row>
    <row r="107" spans="1:3" x14ac:dyDescent="0.25">
      <c r="A107" s="27" t="s">
        <v>107</v>
      </c>
      <c r="B107" s="28">
        <f>B43+B105</f>
        <v>10247880.402786992</v>
      </c>
      <c r="C107" s="4" t="s">
        <v>61</v>
      </c>
    </row>
    <row r="109" spans="1:3" x14ac:dyDescent="0.25">
      <c r="A109" s="1" t="s">
        <v>108</v>
      </c>
      <c r="B109" s="5">
        <f>B96/B107</f>
        <v>1.0929089294361858</v>
      </c>
      <c r="C109" t="s">
        <v>109</v>
      </c>
    </row>
    <row r="111" spans="1:3" x14ac:dyDescent="0.25">
      <c r="A111" t="s">
        <v>125</v>
      </c>
    </row>
    <row r="112" spans="1:3" x14ac:dyDescent="0.25">
      <c r="A112" t="s">
        <v>134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opLeftCell="A91" workbookViewId="0">
      <selection activeCell="C4" sqref="C4"/>
    </sheetView>
  </sheetViews>
  <sheetFormatPr defaultRowHeight="15" x14ac:dyDescent="0.25"/>
  <cols>
    <col min="1" max="1" width="47.42578125" bestFit="1" customWidth="1"/>
    <col min="2" max="2" width="17.42578125" bestFit="1" customWidth="1"/>
    <col min="3" max="3" width="18.42578125" bestFit="1" customWidth="1"/>
    <col min="4" max="4" width="58.28515625" bestFit="1" customWidth="1"/>
  </cols>
  <sheetData>
    <row r="1" spans="1:4" ht="18.75" x14ac:dyDescent="0.3">
      <c r="A1" s="2" t="s">
        <v>0</v>
      </c>
    </row>
    <row r="3" spans="1:4" x14ac:dyDescent="0.25">
      <c r="A3" s="1" t="s">
        <v>1</v>
      </c>
    </row>
    <row r="4" spans="1:4" x14ac:dyDescent="0.25">
      <c r="A4" t="s">
        <v>2</v>
      </c>
    </row>
    <row r="6" spans="1:4" x14ac:dyDescent="0.25">
      <c r="A6" t="s">
        <v>3</v>
      </c>
    </row>
    <row r="8" spans="1:4" x14ac:dyDescent="0.25">
      <c r="A8" s="1" t="s">
        <v>4</v>
      </c>
      <c r="B8" s="1" t="s">
        <v>5</v>
      </c>
      <c r="C8" s="1" t="s">
        <v>6</v>
      </c>
      <c r="D8" s="1" t="s">
        <v>7</v>
      </c>
    </row>
    <row r="9" spans="1:4" x14ac:dyDescent="0.25">
      <c r="A9" t="s">
        <v>8</v>
      </c>
      <c r="B9">
        <v>30</v>
      </c>
      <c r="C9" t="s">
        <v>9</v>
      </c>
    </row>
    <row r="10" spans="1:4" x14ac:dyDescent="0.25">
      <c r="A10" t="s">
        <v>10</v>
      </c>
      <c r="B10">
        <v>16</v>
      </c>
      <c r="C10" t="s">
        <v>113</v>
      </c>
    </row>
    <row r="11" spans="1:4" x14ac:dyDescent="0.25">
      <c r="A11" t="s">
        <v>11</v>
      </c>
      <c r="B11">
        <v>2</v>
      </c>
      <c r="C11" t="s">
        <v>9</v>
      </c>
    </row>
    <row r="12" spans="1:4" x14ac:dyDescent="0.25">
      <c r="A12" t="s">
        <v>12</v>
      </c>
      <c r="B12">
        <f>B9/B11</f>
        <v>15</v>
      </c>
      <c r="C12" t="s">
        <v>114</v>
      </c>
    </row>
    <row r="13" spans="1:4" x14ac:dyDescent="0.25">
      <c r="A13" t="s">
        <v>13</v>
      </c>
      <c r="B13" s="30">
        <v>0.2</v>
      </c>
      <c r="C13" t="s">
        <v>9</v>
      </c>
      <c r="D13" t="s">
        <v>18</v>
      </c>
    </row>
    <row r="14" spans="1:4" x14ac:dyDescent="0.25">
      <c r="A14" t="s">
        <v>14</v>
      </c>
      <c r="B14" s="30">
        <v>9</v>
      </c>
      <c r="C14" t="s">
        <v>15</v>
      </c>
    </row>
    <row r="15" spans="1:4" x14ac:dyDescent="0.25">
      <c r="A15" t="s">
        <v>17</v>
      </c>
      <c r="B15">
        <f>B14*B12</f>
        <v>135</v>
      </c>
      <c r="C15" t="s">
        <v>115</v>
      </c>
    </row>
    <row r="16" spans="1:4" x14ac:dyDescent="0.25">
      <c r="A16" t="s">
        <v>16</v>
      </c>
      <c r="B16">
        <f>B15*B10</f>
        <v>2160</v>
      </c>
      <c r="C16" t="s">
        <v>116</v>
      </c>
    </row>
    <row r="18" spans="1:4" x14ac:dyDescent="0.25">
      <c r="A18" s="3" t="s">
        <v>19</v>
      </c>
      <c r="B18" s="4"/>
      <c r="C18" s="4"/>
    </row>
    <row r="19" spans="1:4" x14ac:dyDescent="0.25">
      <c r="A19" t="s">
        <v>20</v>
      </c>
      <c r="B19" s="30">
        <v>35</v>
      </c>
      <c r="C19" t="s">
        <v>112</v>
      </c>
    </row>
    <row r="20" spans="1:4" x14ac:dyDescent="0.25">
      <c r="A20" t="s">
        <v>21</v>
      </c>
      <c r="B20" s="30">
        <v>1</v>
      </c>
      <c r="C20" t="s">
        <v>22</v>
      </c>
    </row>
    <row r="21" spans="1:4" x14ac:dyDescent="0.25">
      <c r="A21" t="s">
        <v>23</v>
      </c>
      <c r="B21" s="30">
        <v>0.15</v>
      </c>
      <c r="C21" t="s">
        <v>24</v>
      </c>
      <c r="D21" t="s">
        <v>25</v>
      </c>
    </row>
    <row r="22" spans="1:4" x14ac:dyDescent="0.25">
      <c r="A22" t="s">
        <v>26</v>
      </c>
      <c r="B22" s="30">
        <v>5</v>
      </c>
      <c r="C22" t="s">
        <v>27</v>
      </c>
      <c r="D22" t="s">
        <v>28</v>
      </c>
    </row>
    <row r="23" spans="1:4" x14ac:dyDescent="0.25">
      <c r="A23" t="s">
        <v>29</v>
      </c>
      <c r="B23">
        <f>B22*B21*B20</f>
        <v>0.75</v>
      </c>
      <c r="C23" t="s">
        <v>30</v>
      </c>
    </row>
    <row r="24" spans="1:4" x14ac:dyDescent="0.25">
      <c r="A24" t="s">
        <v>31</v>
      </c>
      <c r="B24">
        <f>B23*B16</f>
        <v>1620</v>
      </c>
      <c r="C24" t="s">
        <v>32</v>
      </c>
    </row>
    <row r="25" spans="1:4" x14ac:dyDescent="0.25">
      <c r="A25" t="s">
        <v>33</v>
      </c>
      <c r="B25" s="30">
        <v>6</v>
      </c>
      <c r="C25" t="s">
        <v>34</v>
      </c>
      <c r="D25" t="s">
        <v>111</v>
      </c>
    </row>
    <row r="26" spans="1:4" x14ac:dyDescent="0.25">
      <c r="A26" t="s">
        <v>35</v>
      </c>
      <c r="B26">
        <f>180-B19</f>
        <v>145</v>
      </c>
      <c r="C26" t="s">
        <v>36</v>
      </c>
    </row>
    <row r="27" spans="1:4" x14ac:dyDescent="0.25">
      <c r="A27" t="s">
        <v>37</v>
      </c>
      <c r="B27" s="6">
        <f>B26/7</f>
        <v>20.714285714285715</v>
      </c>
      <c r="C27" t="s">
        <v>38</v>
      </c>
    </row>
    <row r="28" spans="1:4" x14ac:dyDescent="0.25">
      <c r="A28" t="s">
        <v>39</v>
      </c>
      <c r="B28" s="11">
        <f>B27*B24</f>
        <v>33557.142857142862</v>
      </c>
      <c r="C28" t="s">
        <v>40</v>
      </c>
    </row>
    <row r="29" spans="1:4" x14ac:dyDescent="0.25">
      <c r="A29" t="s">
        <v>41</v>
      </c>
      <c r="B29" s="30">
        <v>2</v>
      </c>
      <c r="C29" t="s">
        <v>42</v>
      </c>
      <c r="D29" t="s">
        <v>123</v>
      </c>
    </row>
    <row r="30" spans="1:4" x14ac:dyDescent="0.25">
      <c r="A30" t="s">
        <v>43</v>
      </c>
      <c r="B30" s="11">
        <f>B29*B28</f>
        <v>67114.285714285725</v>
      </c>
      <c r="C30" t="s">
        <v>44</v>
      </c>
    </row>
    <row r="31" spans="1:4" x14ac:dyDescent="0.25">
      <c r="B31" s="7"/>
    </row>
    <row r="32" spans="1:4" x14ac:dyDescent="0.25">
      <c r="A32" s="8" t="s">
        <v>45</v>
      </c>
      <c r="B32" s="9"/>
      <c r="C32" s="10"/>
    </row>
    <row r="33" spans="1:3" x14ac:dyDescent="0.25">
      <c r="A33" t="s">
        <v>46</v>
      </c>
      <c r="B33" s="31">
        <v>18</v>
      </c>
      <c r="C33" t="s">
        <v>47</v>
      </c>
    </row>
    <row r="34" spans="1:3" x14ac:dyDescent="0.25">
      <c r="A34" t="s">
        <v>110</v>
      </c>
      <c r="B34" s="11">
        <f>B33*B30</f>
        <v>1208057.142857143</v>
      </c>
      <c r="C34" t="s">
        <v>48</v>
      </c>
    </row>
    <row r="35" spans="1:3" x14ac:dyDescent="0.25">
      <c r="B35" s="7"/>
    </row>
    <row r="36" spans="1:3" x14ac:dyDescent="0.25">
      <c r="A36" s="1" t="s">
        <v>49</v>
      </c>
      <c r="B36" s="7"/>
    </row>
    <row r="37" spans="1:3" x14ac:dyDescent="0.25">
      <c r="A37" t="s">
        <v>50</v>
      </c>
      <c r="B37" s="32">
        <v>0.8</v>
      </c>
      <c r="C37" t="s">
        <v>51</v>
      </c>
    </row>
    <row r="38" spans="1:3" x14ac:dyDescent="0.25">
      <c r="A38" t="s">
        <v>52</v>
      </c>
      <c r="B38" s="11">
        <f>B34*B37</f>
        <v>966445.71428571444</v>
      </c>
      <c r="C38" t="s">
        <v>48</v>
      </c>
    </row>
    <row r="39" spans="1:3" x14ac:dyDescent="0.25">
      <c r="B39" s="7"/>
    </row>
    <row r="40" spans="1:3" x14ac:dyDescent="0.25">
      <c r="A40" s="15" t="s">
        <v>53</v>
      </c>
      <c r="B40" s="16"/>
      <c r="C40" s="17"/>
    </row>
    <row r="41" spans="1:3" x14ac:dyDescent="0.25">
      <c r="A41" t="s">
        <v>54</v>
      </c>
      <c r="B41" s="31">
        <v>20</v>
      </c>
      <c r="C41" t="s">
        <v>55</v>
      </c>
    </row>
    <row r="42" spans="1:3" x14ac:dyDescent="0.25">
      <c r="B42" s="7"/>
    </row>
    <row r="43" spans="1:3" x14ac:dyDescent="0.25">
      <c r="A43" s="13" t="s">
        <v>56</v>
      </c>
      <c r="B43" s="26">
        <f>B38*B41</f>
        <v>19328914.285714287</v>
      </c>
      <c r="C43" s="13" t="s">
        <v>57</v>
      </c>
    </row>
    <row r="44" spans="1:3" x14ac:dyDescent="0.25">
      <c r="B44" s="7"/>
    </row>
    <row r="45" spans="1:3" x14ac:dyDescent="0.25">
      <c r="A45" s="18" t="s">
        <v>58</v>
      </c>
      <c r="B45" s="19"/>
      <c r="C45" s="20"/>
    </row>
    <row r="46" spans="1:3" x14ac:dyDescent="0.25">
      <c r="B46" s="7"/>
    </row>
    <row r="47" spans="1:3" x14ac:dyDescent="0.25">
      <c r="A47" s="1" t="s">
        <v>59</v>
      </c>
      <c r="B47" s="7"/>
    </row>
    <row r="48" spans="1:3" x14ac:dyDescent="0.25">
      <c r="A48" t="s">
        <v>60</v>
      </c>
      <c r="B48" s="33">
        <f>-35000*12</f>
        <v>-420000</v>
      </c>
      <c r="C48" t="s">
        <v>61</v>
      </c>
    </row>
    <row r="49" spans="1:4" x14ac:dyDescent="0.25">
      <c r="A49" t="s">
        <v>62</v>
      </c>
      <c r="B49" s="33">
        <f>-B33*1*6000*12</f>
        <v>-1296000</v>
      </c>
      <c r="C49" t="s">
        <v>61</v>
      </c>
    </row>
    <row r="50" spans="1:4" x14ac:dyDescent="0.25">
      <c r="A50" s="21" t="s">
        <v>63</v>
      </c>
      <c r="B50" s="11">
        <f>SUM(B48:B49)</f>
        <v>-1716000</v>
      </c>
      <c r="C50" t="s">
        <v>61</v>
      </c>
    </row>
    <row r="51" spans="1:4" x14ac:dyDescent="0.25">
      <c r="B51" s="11"/>
    </row>
    <row r="52" spans="1:4" x14ac:dyDescent="0.25">
      <c r="A52" s="1" t="s">
        <v>64</v>
      </c>
      <c r="B52" s="11"/>
    </row>
    <row r="53" spans="1:4" x14ac:dyDescent="0.25">
      <c r="A53" t="s">
        <v>65</v>
      </c>
      <c r="B53" s="33">
        <f>-800*B33*12</f>
        <v>-172800</v>
      </c>
      <c r="C53" t="s">
        <v>61</v>
      </c>
    </row>
    <row r="54" spans="1:4" x14ac:dyDescent="0.25">
      <c r="A54" t="s">
        <v>66</v>
      </c>
      <c r="B54" s="33">
        <f>-0.64*B33*12*450</f>
        <v>-62208.000000000007</v>
      </c>
      <c r="C54" t="s">
        <v>61</v>
      </c>
    </row>
    <row r="55" spans="1:4" x14ac:dyDescent="0.25">
      <c r="A55" t="s">
        <v>67</v>
      </c>
      <c r="B55" s="33">
        <f>-0.15*B33*10*650</f>
        <v>-17549.999999999996</v>
      </c>
      <c r="C55" t="s">
        <v>61</v>
      </c>
    </row>
    <row r="56" spans="1:4" x14ac:dyDescent="0.25">
      <c r="A56" t="s">
        <v>68</v>
      </c>
      <c r="B56" s="33">
        <f>-0.5*350*B33*12</f>
        <v>-37800</v>
      </c>
      <c r="C56" t="s">
        <v>61</v>
      </c>
    </row>
    <row r="57" spans="1:4" x14ac:dyDescent="0.25">
      <c r="A57" t="s">
        <v>69</v>
      </c>
      <c r="B57" s="33">
        <f>-800*0.5*B33*12</f>
        <v>-86400</v>
      </c>
      <c r="C57" t="s">
        <v>61</v>
      </c>
    </row>
    <row r="58" spans="1:4" x14ac:dyDescent="0.25">
      <c r="A58" s="21" t="s">
        <v>70</v>
      </c>
      <c r="B58" s="11">
        <f>SUM(B53:B57)</f>
        <v>-376758</v>
      </c>
      <c r="C58" t="s">
        <v>61</v>
      </c>
    </row>
    <row r="59" spans="1:4" x14ac:dyDescent="0.25">
      <c r="B59" s="7"/>
    </row>
    <row r="60" spans="1:4" x14ac:dyDescent="0.25">
      <c r="A60" s="1" t="s">
        <v>117</v>
      </c>
      <c r="B60" s="7"/>
    </row>
    <row r="61" spans="1:4" x14ac:dyDescent="0.25">
      <c r="A61" t="s">
        <v>118</v>
      </c>
      <c r="B61" s="33">
        <f>-0.9*B16*B33*2</f>
        <v>-69984</v>
      </c>
      <c r="C61" t="s">
        <v>61</v>
      </c>
      <c r="D61" t="s">
        <v>120</v>
      </c>
    </row>
    <row r="62" spans="1:4" x14ac:dyDescent="0.25">
      <c r="A62" t="s">
        <v>119</v>
      </c>
      <c r="B62" s="33">
        <f>-5*B16*B33*2</f>
        <v>-388800</v>
      </c>
      <c r="C62" t="s">
        <v>61</v>
      </c>
      <c r="D62" t="s">
        <v>121</v>
      </c>
    </row>
    <row r="63" spans="1:4" x14ac:dyDescent="0.25">
      <c r="A63" s="21" t="s">
        <v>122</v>
      </c>
      <c r="B63" s="11">
        <f>SUM(B61:B62)</f>
        <v>-458784</v>
      </c>
      <c r="C63" t="s">
        <v>61</v>
      </c>
    </row>
    <row r="64" spans="1:4" x14ac:dyDescent="0.25">
      <c r="B64" s="7"/>
    </row>
    <row r="65" spans="1:3" x14ac:dyDescent="0.25">
      <c r="A65" s="1" t="s">
        <v>71</v>
      </c>
      <c r="B65" s="7"/>
    </row>
    <row r="66" spans="1:3" x14ac:dyDescent="0.25">
      <c r="A66" t="s">
        <v>72</v>
      </c>
      <c r="B66" s="33">
        <f>-0.45*B38</f>
        <v>-434900.57142857148</v>
      </c>
      <c r="C66" t="s">
        <v>61</v>
      </c>
    </row>
    <row r="67" spans="1:3" x14ac:dyDescent="0.25">
      <c r="A67" t="s">
        <v>73</v>
      </c>
      <c r="B67" s="33">
        <f>-5*B38/10</f>
        <v>-483222.85714285716</v>
      </c>
      <c r="C67" t="s">
        <v>61</v>
      </c>
    </row>
    <row r="68" spans="1:3" x14ac:dyDescent="0.25">
      <c r="A68" s="21" t="s">
        <v>84</v>
      </c>
      <c r="B68" s="11">
        <f>SUM(B66:B67)</f>
        <v>-918123.42857142864</v>
      </c>
      <c r="C68" t="s">
        <v>61</v>
      </c>
    </row>
    <row r="69" spans="1:3" x14ac:dyDescent="0.25">
      <c r="B69" s="7"/>
    </row>
    <row r="70" spans="1:3" x14ac:dyDescent="0.25">
      <c r="A70" s="1" t="s">
        <v>74</v>
      </c>
      <c r="B70" s="7"/>
    </row>
    <row r="71" spans="1:3" x14ac:dyDescent="0.25">
      <c r="A71" t="s">
        <v>75</v>
      </c>
      <c r="B71" s="7"/>
    </row>
    <row r="72" spans="1:3" x14ac:dyDescent="0.25">
      <c r="A72" t="s">
        <v>76</v>
      </c>
      <c r="B72" s="7"/>
    </row>
    <row r="73" spans="1:3" x14ac:dyDescent="0.25">
      <c r="A73" t="s">
        <v>77</v>
      </c>
      <c r="B73" s="7"/>
    </row>
    <row r="74" spans="1:3" x14ac:dyDescent="0.25">
      <c r="A74" t="s">
        <v>78</v>
      </c>
      <c r="B74" s="7"/>
    </row>
    <row r="75" spans="1:3" x14ac:dyDescent="0.25">
      <c r="A75" t="s">
        <v>79</v>
      </c>
      <c r="B75" s="7"/>
    </row>
    <row r="76" spans="1:3" x14ac:dyDescent="0.25">
      <c r="A76" t="s">
        <v>80</v>
      </c>
      <c r="B76" s="7"/>
    </row>
    <row r="77" spans="1:3" x14ac:dyDescent="0.25">
      <c r="A77" t="s">
        <v>81</v>
      </c>
      <c r="B77" s="7"/>
    </row>
    <row r="78" spans="1:3" x14ac:dyDescent="0.25">
      <c r="A78" t="s">
        <v>82</v>
      </c>
      <c r="B78" s="7"/>
    </row>
    <row r="79" spans="1:3" x14ac:dyDescent="0.25">
      <c r="A79" s="21" t="s">
        <v>83</v>
      </c>
      <c r="B79" s="34">
        <f>-1%*B43</f>
        <v>-193289.14285714287</v>
      </c>
      <c r="C79" t="s">
        <v>61</v>
      </c>
    </row>
    <row r="80" spans="1:3" x14ac:dyDescent="0.25">
      <c r="B80" s="7"/>
    </row>
    <row r="81" spans="1:3" x14ac:dyDescent="0.25">
      <c r="A81" s="1" t="s">
        <v>85</v>
      </c>
      <c r="B81" s="7"/>
    </row>
    <row r="82" spans="1:3" x14ac:dyDescent="0.25">
      <c r="A82" t="s">
        <v>86</v>
      </c>
      <c r="B82" s="31">
        <f>300*2*B27 + 10000</f>
        <v>22428.571428571428</v>
      </c>
    </row>
    <row r="83" spans="1:3" x14ac:dyDescent="0.25">
      <c r="A83" t="s">
        <v>87</v>
      </c>
      <c r="B83" s="35">
        <v>-6.5</v>
      </c>
      <c r="C83" t="s">
        <v>89</v>
      </c>
    </row>
    <row r="84" spans="1:3" x14ac:dyDescent="0.25">
      <c r="A84" s="21" t="s">
        <v>90</v>
      </c>
      <c r="B84" s="26">
        <f>B82*B83</f>
        <v>-145785.71428571429</v>
      </c>
      <c r="C84" t="s">
        <v>61</v>
      </c>
    </row>
    <row r="85" spans="1:3" x14ac:dyDescent="0.25">
      <c r="B85" s="7"/>
    </row>
    <row r="86" spans="1:3" x14ac:dyDescent="0.25">
      <c r="A86" s="1" t="s">
        <v>91</v>
      </c>
      <c r="B86" s="7"/>
    </row>
    <row r="87" spans="1:3" x14ac:dyDescent="0.25">
      <c r="A87" t="s">
        <v>92</v>
      </c>
      <c r="B87" s="32">
        <v>6.5000000000000002E-2</v>
      </c>
    </row>
    <row r="88" spans="1:3" x14ac:dyDescent="0.25">
      <c r="A88" s="21" t="s">
        <v>93</v>
      </c>
      <c r="B88" s="11">
        <f>-B87*B43</f>
        <v>-1256379.4285714286</v>
      </c>
      <c r="C88" t="s">
        <v>61</v>
      </c>
    </row>
    <row r="89" spans="1:3" x14ac:dyDescent="0.25">
      <c r="B89" s="7"/>
    </row>
    <row r="90" spans="1:3" x14ac:dyDescent="0.25">
      <c r="A90" s="1" t="s">
        <v>94</v>
      </c>
      <c r="B90" s="7"/>
    </row>
    <row r="91" spans="1:3" x14ac:dyDescent="0.25">
      <c r="A91" t="s">
        <v>95</v>
      </c>
      <c r="B91" s="33">
        <f>-2%*B43</f>
        <v>-386578.28571428574</v>
      </c>
      <c r="C91" t="s">
        <v>61</v>
      </c>
    </row>
    <row r="92" spans="1:3" x14ac:dyDescent="0.25">
      <c r="A92" t="s">
        <v>96</v>
      </c>
      <c r="B92" s="33">
        <f>-2%*B43</f>
        <v>-386578.28571428574</v>
      </c>
      <c r="C92" t="s">
        <v>61</v>
      </c>
    </row>
    <row r="93" spans="1:3" x14ac:dyDescent="0.25">
      <c r="A93" s="21" t="s">
        <v>97</v>
      </c>
      <c r="B93" s="11">
        <f>SUM(B91:B92)</f>
        <v>-773156.57142857148</v>
      </c>
      <c r="C93" t="s">
        <v>61</v>
      </c>
    </row>
    <row r="95" spans="1:3" x14ac:dyDescent="0.25">
      <c r="A95" s="1" t="s">
        <v>98</v>
      </c>
    </row>
    <row r="96" spans="1:3" x14ac:dyDescent="0.25">
      <c r="A96" t="s">
        <v>99</v>
      </c>
      <c r="B96" s="33">
        <f>((400000*B33)+1000000+1000000+1000000+1000000)</f>
        <v>11200000</v>
      </c>
      <c r="C96" t="s">
        <v>88</v>
      </c>
    </row>
    <row r="97" spans="1:3" x14ac:dyDescent="0.25">
      <c r="A97" t="s">
        <v>100</v>
      </c>
      <c r="B97" s="36">
        <v>0.1125</v>
      </c>
    </row>
    <row r="98" spans="1:3" x14ac:dyDescent="0.25">
      <c r="A98" t="s">
        <v>101</v>
      </c>
      <c r="B98" s="30">
        <v>5</v>
      </c>
      <c r="C98" t="s">
        <v>102</v>
      </c>
    </row>
    <row r="99" spans="1:3" x14ac:dyDescent="0.25">
      <c r="A99" s="21" t="s">
        <v>104</v>
      </c>
      <c r="B99" s="11">
        <f>PMT(B97,B98,B96)</f>
        <v>-3049468.4543558666</v>
      </c>
      <c r="C99" s="24" t="s">
        <v>61</v>
      </c>
    </row>
    <row r="101" spans="1:3" x14ac:dyDescent="0.25">
      <c r="A101" s="1" t="s">
        <v>103</v>
      </c>
    </row>
    <row r="102" spans="1:3" x14ac:dyDescent="0.25">
      <c r="A102" t="s">
        <v>103</v>
      </c>
      <c r="B102" s="37">
        <f>-1%*B43</f>
        <v>-193289.14285714287</v>
      </c>
      <c r="C102" t="s">
        <v>61</v>
      </c>
    </row>
    <row r="103" spans="1:3" x14ac:dyDescent="0.25">
      <c r="A103" s="21" t="s">
        <v>106</v>
      </c>
      <c r="B103" s="25">
        <f>B102</f>
        <v>-193289.14285714287</v>
      </c>
      <c r="C103" t="s">
        <v>61</v>
      </c>
    </row>
    <row r="104" spans="1:3" x14ac:dyDescent="0.25">
      <c r="B104" s="25"/>
    </row>
    <row r="105" spans="1:3" x14ac:dyDescent="0.25">
      <c r="A105" s="21" t="s">
        <v>105</v>
      </c>
      <c r="B105" s="29">
        <f>B103+B99+B93+B88+B84+B79+B68+B58+B50+B63</f>
        <v>-9081033.8829272948</v>
      </c>
      <c r="C105" t="s">
        <v>61</v>
      </c>
    </row>
    <row r="107" spans="1:3" x14ac:dyDescent="0.25">
      <c r="A107" s="27" t="s">
        <v>107</v>
      </c>
      <c r="B107" s="28">
        <f>B43+B105</f>
        <v>10247880.402786992</v>
      </c>
      <c r="C107" s="4" t="s">
        <v>61</v>
      </c>
    </row>
    <row r="109" spans="1:3" x14ac:dyDescent="0.25">
      <c r="A109" s="1" t="s">
        <v>108</v>
      </c>
      <c r="B109" s="5">
        <f>B96/B107</f>
        <v>1.0929089294361858</v>
      </c>
      <c r="C109" t="s">
        <v>109</v>
      </c>
    </row>
    <row r="111" spans="1:3" x14ac:dyDescent="0.25">
      <c r="A111" s="38" t="s">
        <v>124</v>
      </c>
      <c r="B111" s="30"/>
      <c r="C11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opLeftCell="A25" workbookViewId="0">
      <selection activeCell="M26" sqref="M26"/>
    </sheetView>
  </sheetViews>
  <sheetFormatPr defaultRowHeight="15" x14ac:dyDescent="0.25"/>
  <cols>
    <col min="1" max="1" width="13.28515625" customWidth="1"/>
    <col min="2" max="2" width="14" bestFit="1" customWidth="1"/>
    <col min="3" max="11" width="11.28515625" bestFit="1" customWidth="1"/>
    <col min="12" max="22" width="12.28515625" bestFit="1" customWidth="1"/>
  </cols>
  <sheetData>
    <row r="1" spans="1:22" ht="15.75" x14ac:dyDescent="0.25">
      <c r="A1" s="40" t="s">
        <v>126</v>
      </c>
    </row>
    <row r="3" spans="1:22" x14ac:dyDescent="0.25">
      <c r="A3" s="39" t="s">
        <v>127</v>
      </c>
    </row>
    <row r="4" spans="1:22" x14ac:dyDescent="0.25">
      <c r="A4" t="s">
        <v>128</v>
      </c>
    </row>
    <row r="6" spans="1:22" x14ac:dyDescent="0.25">
      <c r="A6" s="39" t="s">
        <v>129</v>
      </c>
      <c r="B6" s="41" t="s">
        <v>109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3"/>
    </row>
    <row r="7" spans="1:22" x14ac:dyDescent="0.25">
      <c r="A7" s="39" t="s">
        <v>4</v>
      </c>
      <c r="B7" s="44">
        <v>0</v>
      </c>
      <c r="C7" s="44">
        <v>1</v>
      </c>
      <c r="D7" s="44">
        <v>2</v>
      </c>
      <c r="E7" s="44">
        <v>3</v>
      </c>
      <c r="F7" s="44">
        <v>4</v>
      </c>
      <c r="G7" s="44">
        <v>5</v>
      </c>
      <c r="H7" s="44">
        <v>6</v>
      </c>
      <c r="I7" s="44">
        <v>7</v>
      </c>
      <c r="J7" s="44">
        <v>8</v>
      </c>
      <c r="K7" s="44">
        <v>9</v>
      </c>
      <c r="L7" s="44">
        <v>10</v>
      </c>
      <c r="M7" s="44">
        <v>11</v>
      </c>
      <c r="N7" s="44">
        <v>12</v>
      </c>
      <c r="O7" s="44">
        <v>13</v>
      </c>
      <c r="P7" s="44">
        <v>14</v>
      </c>
      <c r="Q7" s="44">
        <v>15</v>
      </c>
      <c r="R7" s="44">
        <v>16</v>
      </c>
      <c r="S7" s="44">
        <v>17</v>
      </c>
      <c r="T7" s="44">
        <v>18</v>
      </c>
      <c r="U7" s="44">
        <v>19</v>
      </c>
      <c r="V7" s="44">
        <v>20</v>
      </c>
    </row>
    <row r="8" spans="1:22" x14ac:dyDescent="0.25">
      <c r="A8" s="39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5">
      <c r="A9" s="39" t="s">
        <v>130</v>
      </c>
      <c r="B9" s="11"/>
      <c r="C9" s="11">
        <f>Verbeterd!B43</f>
        <v>19328914.285714287</v>
      </c>
      <c r="D9" s="11">
        <f>C9</f>
        <v>19328914.285714287</v>
      </c>
      <c r="E9" s="11">
        <f t="shared" ref="E9:V9" si="0">D9</f>
        <v>19328914.285714287</v>
      </c>
      <c r="F9" s="11">
        <f t="shared" si="0"/>
        <v>19328914.285714287</v>
      </c>
      <c r="G9" s="11">
        <f t="shared" si="0"/>
        <v>19328914.285714287</v>
      </c>
      <c r="H9" s="11">
        <f t="shared" si="0"/>
        <v>19328914.285714287</v>
      </c>
      <c r="I9" s="11">
        <f t="shared" si="0"/>
        <v>19328914.285714287</v>
      </c>
      <c r="J9" s="11">
        <f t="shared" si="0"/>
        <v>19328914.285714287</v>
      </c>
      <c r="K9" s="11">
        <f t="shared" si="0"/>
        <v>19328914.285714287</v>
      </c>
      <c r="L9" s="11">
        <f t="shared" si="0"/>
        <v>19328914.285714287</v>
      </c>
      <c r="M9" s="11">
        <f t="shared" si="0"/>
        <v>19328914.285714287</v>
      </c>
      <c r="N9" s="11">
        <f t="shared" si="0"/>
        <v>19328914.285714287</v>
      </c>
      <c r="O9" s="11">
        <f t="shared" si="0"/>
        <v>19328914.285714287</v>
      </c>
      <c r="P9" s="11">
        <f t="shared" si="0"/>
        <v>19328914.285714287</v>
      </c>
      <c r="Q9" s="11">
        <f t="shared" si="0"/>
        <v>19328914.285714287</v>
      </c>
      <c r="R9" s="11">
        <f t="shared" si="0"/>
        <v>19328914.285714287</v>
      </c>
      <c r="S9" s="11">
        <f t="shared" si="0"/>
        <v>19328914.285714287</v>
      </c>
      <c r="T9" s="11">
        <f t="shared" si="0"/>
        <v>19328914.285714287</v>
      </c>
      <c r="U9" s="11">
        <f t="shared" si="0"/>
        <v>19328914.285714287</v>
      </c>
      <c r="V9" s="11">
        <f t="shared" si="0"/>
        <v>19328914.285714287</v>
      </c>
    </row>
    <row r="10" spans="1:22" x14ac:dyDescent="0.25">
      <c r="A10" s="39" t="s">
        <v>131</v>
      </c>
      <c r="B10" s="11"/>
      <c r="C10" s="11">
        <f>Verbeterd!B105-Verbeterd!B99</f>
        <v>-6031565.4285714282</v>
      </c>
      <c r="D10" s="11">
        <f>C10</f>
        <v>-6031565.4285714282</v>
      </c>
      <c r="E10" s="11">
        <f t="shared" ref="E10:V10" si="1">D10</f>
        <v>-6031565.4285714282</v>
      </c>
      <c r="F10" s="11">
        <f t="shared" si="1"/>
        <v>-6031565.4285714282</v>
      </c>
      <c r="G10" s="11">
        <f t="shared" si="1"/>
        <v>-6031565.4285714282</v>
      </c>
      <c r="H10" s="11">
        <f t="shared" si="1"/>
        <v>-6031565.4285714282</v>
      </c>
      <c r="I10" s="11">
        <f t="shared" si="1"/>
        <v>-6031565.4285714282</v>
      </c>
      <c r="J10" s="11">
        <f t="shared" si="1"/>
        <v>-6031565.4285714282</v>
      </c>
      <c r="K10" s="11">
        <f t="shared" si="1"/>
        <v>-6031565.4285714282</v>
      </c>
      <c r="L10" s="11">
        <f t="shared" si="1"/>
        <v>-6031565.4285714282</v>
      </c>
      <c r="M10" s="11">
        <f t="shared" si="1"/>
        <v>-6031565.4285714282</v>
      </c>
      <c r="N10" s="11">
        <f t="shared" si="1"/>
        <v>-6031565.4285714282</v>
      </c>
      <c r="O10" s="11">
        <f t="shared" si="1"/>
        <v>-6031565.4285714282</v>
      </c>
      <c r="P10" s="11">
        <f t="shared" si="1"/>
        <v>-6031565.4285714282</v>
      </c>
      <c r="Q10" s="11">
        <f t="shared" si="1"/>
        <v>-6031565.4285714282</v>
      </c>
      <c r="R10" s="11">
        <f t="shared" si="1"/>
        <v>-6031565.4285714282</v>
      </c>
      <c r="S10" s="11">
        <f t="shared" si="1"/>
        <v>-6031565.4285714282</v>
      </c>
      <c r="T10" s="11">
        <f t="shared" si="1"/>
        <v>-6031565.4285714282</v>
      </c>
      <c r="U10" s="11">
        <f t="shared" si="1"/>
        <v>-6031565.4285714282</v>
      </c>
      <c r="V10" s="11">
        <f t="shared" si="1"/>
        <v>-6031565.4285714282</v>
      </c>
    </row>
    <row r="11" spans="1:22" x14ac:dyDescent="0.25">
      <c r="A11" s="39" t="s">
        <v>132</v>
      </c>
      <c r="B11" s="11">
        <f>-Verbeterd!B96</f>
        <v>-11200000</v>
      </c>
      <c r="C11" s="11">
        <f>Verbeterd!B99</f>
        <v>-3049468.4543558666</v>
      </c>
      <c r="D11" s="11">
        <f>C11</f>
        <v>-3049468.4543558666</v>
      </c>
      <c r="E11" s="11">
        <f>D11</f>
        <v>-3049468.4543558666</v>
      </c>
      <c r="F11" s="11">
        <f>E11</f>
        <v>-3049468.4543558666</v>
      </c>
      <c r="G11" s="11">
        <f>F11</f>
        <v>-3049468.4543558666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x14ac:dyDescent="0.25">
      <c r="A12" s="39" t="s">
        <v>133</v>
      </c>
      <c r="B12" s="11">
        <f>B11</f>
        <v>-11200000</v>
      </c>
      <c r="C12" s="11">
        <f>SUM(C9:C11)</f>
        <v>10247880.402786992</v>
      </c>
      <c r="D12" s="11">
        <f t="shared" ref="D12:V12" si="2">SUM(D9:D11)</f>
        <v>10247880.402786992</v>
      </c>
      <c r="E12" s="11">
        <f t="shared" si="2"/>
        <v>10247880.402786992</v>
      </c>
      <c r="F12" s="11">
        <f t="shared" si="2"/>
        <v>10247880.402786992</v>
      </c>
      <c r="G12" s="11">
        <f t="shared" si="2"/>
        <v>10247880.402786992</v>
      </c>
      <c r="H12" s="11">
        <f t="shared" si="2"/>
        <v>13297348.857142858</v>
      </c>
      <c r="I12" s="11">
        <f t="shared" si="2"/>
        <v>13297348.857142858</v>
      </c>
      <c r="J12" s="11">
        <f t="shared" si="2"/>
        <v>13297348.857142858</v>
      </c>
      <c r="K12" s="11">
        <f t="shared" si="2"/>
        <v>13297348.857142858</v>
      </c>
      <c r="L12" s="11">
        <f t="shared" si="2"/>
        <v>13297348.857142858</v>
      </c>
      <c r="M12" s="11">
        <f t="shared" si="2"/>
        <v>13297348.857142858</v>
      </c>
      <c r="N12" s="11">
        <f t="shared" si="2"/>
        <v>13297348.857142858</v>
      </c>
      <c r="O12" s="11">
        <f t="shared" si="2"/>
        <v>13297348.857142858</v>
      </c>
      <c r="P12" s="11">
        <f t="shared" si="2"/>
        <v>13297348.857142858</v>
      </c>
      <c r="Q12" s="11">
        <f t="shared" si="2"/>
        <v>13297348.857142858</v>
      </c>
      <c r="R12" s="11">
        <f t="shared" si="2"/>
        <v>13297348.857142858</v>
      </c>
      <c r="S12" s="11">
        <f t="shared" si="2"/>
        <v>13297348.857142858</v>
      </c>
      <c r="T12" s="11">
        <f t="shared" si="2"/>
        <v>13297348.857142858</v>
      </c>
      <c r="U12" s="11">
        <f t="shared" si="2"/>
        <v>13297348.857142858</v>
      </c>
      <c r="V12" s="11">
        <f t="shared" si="2"/>
        <v>13297348.857142858</v>
      </c>
    </row>
    <row r="13" spans="1:22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x14ac:dyDescent="0.25">
      <c r="A14" s="39" t="s">
        <v>129</v>
      </c>
      <c r="B14" s="29">
        <f>B12</f>
        <v>-11200000</v>
      </c>
      <c r="C14" s="29">
        <f>B14+C12</f>
        <v>-952119.59721300751</v>
      </c>
      <c r="D14" s="29">
        <f t="shared" ref="D14:V14" si="3">C14+D12</f>
        <v>9295760.805573985</v>
      </c>
      <c r="E14" s="29">
        <f t="shared" si="3"/>
        <v>19543641.208360977</v>
      </c>
      <c r="F14" s="29">
        <f t="shared" si="3"/>
        <v>29791521.61114797</v>
      </c>
      <c r="G14" s="29">
        <f t="shared" si="3"/>
        <v>40039402.013934962</v>
      </c>
      <c r="H14" s="29">
        <f t="shared" si="3"/>
        <v>53336750.871077821</v>
      </c>
      <c r="I14" s="29">
        <f t="shared" si="3"/>
        <v>66634099.728220679</v>
      </c>
      <c r="J14" s="29">
        <f t="shared" si="3"/>
        <v>79931448.585363537</v>
      </c>
      <c r="K14" s="29">
        <f t="shared" si="3"/>
        <v>93228797.442506403</v>
      </c>
      <c r="L14" s="29">
        <f t="shared" si="3"/>
        <v>106526146.29964927</v>
      </c>
      <c r="M14" s="29">
        <f t="shared" si="3"/>
        <v>119823495.15679213</v>
      </c>
      <c r="N14" s="29">
        <f t="shared" si="3"/>
        <v>133120844.013935</v>
      </c>
      <c r="O14" s="29">
        <f t="shared" si="3"/>
        <v>146418192.87107787</v>
      </c>
      <c r="P14" s="29">
        <f t="shared" si="3"/>
        <v>159715541.72822073</v>
      </c>
      <c r="Q14" s="29">
        <f t="shared" si="3"/>
        <v>173012890.5853636</v>
      </c>
      <c r="R14" s="29">
        <f t="shared" si="3"/>
        <v>186310239.44250646</v>
      </c>
      <c r="S14" s="29">
        <f t="shared" si="3"/>
        <v>199607588.29964933</v>
      </c>
      <c r="T14" s="29">
        <f t="shared" si="3"/>
        <v>212904937.15679219</v>
      </c>
      <c r="U14" s="29">
        <f t="shared" si="3"/>
        <v>226202286.01393506</v>
      </c>
      <c r="V14" s="29">
        <f t="shared" si="3"/>
        <v>239499634.87107792</v>
      </c>
    </row>
  </sheetData>
  <mergeCells count="1">
    <mergeCell ref="B6:V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Soos video</vt:lpstr>
      <vt:lpstr>Verbeterd</vt:lpstr>
      <vt:lpstr>Kontantvloei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Wynand Bezuidenhout</dc:creator>
  <cp:lastModifiedBy>Wynand Bezuidenhout</cp:lastModifiedBy>
  <dcterms:created xsi:type="dcterms:W3CDTF">2024-01-30T09:01:16Z</dcterms:created>
  <dcterms:modified xsi:type="dcterms:W3CDTF">2024-02-10T12:38:30Z</dcterms:modified>
</cp:coreProperties>
</file>